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<sst xmlns="http://schemas.openxmlformats.org/spreadsheetml/2006/main" count="166" uniqueCount="113">
  <si>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</si>
  <si>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</si>
  <si>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</si>
  <si>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</si>
  <si>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</si>
  <si>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</si>
  <si>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</si>
  <si>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</si>
  <si>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</si>
  <si>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</si>
  <si>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</si>
  <si>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</si>
  <si>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</si>
  <si>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</si>
  <si>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</si>
  <si>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</si>
  <si>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</si>
  <si>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</si>
  <si>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</si>
  <si>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</si>
  <si>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</si>
  <si>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</si>
  <si>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</si>
  <si>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</si>
  <si>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</si>
  <si>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</si>
  <si>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</si>
  <si>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</si>
  <si>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</si>
  <si>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</si>
  <si>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</si>
  <si>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</si>
  <si>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</si>
  <si>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</si>
  <si>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</si>
  <si>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</si>
  <si>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</si>
  <si>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</si>
  <si>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</si>
  <si>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</si>
  <si>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</si>
  <si>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</si>
  <si>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</si>
  <si>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</si>
  <si>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</si>
  <si>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</si>
  <si>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</si>
  <si>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</si>
  <si>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</si>
  <si>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</si>
  <si>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</si>
  <si>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</si>
  <si>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</si>
  <si>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</si>
  <si>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</si>
  <si>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</si>
  <si>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</si>
  <si>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</si>
  <si>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</si>
  <si>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</si>
  <si>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</si>
  <si>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</si>
  <si>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</si>
  <si>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</si>
  <si>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</si>
  <si>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</si>
  <si>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</si>
  <si>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</si>
  <si>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</si>
  <si>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</si>
  <si>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</si>
  <si>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</si>
  <si>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</si>
  <si>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</si>
  <si>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</si>
  <si>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</si>
  <si>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</si>
  <si>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</si>
  <si>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</si>
  <si>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</si>
  <si>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</si>
  <si>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</si>
  <si>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</si>
  <si>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</si>
  <si>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</si>
  <si>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</si>
  <si>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</si>
  <si>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</si>
  <si>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</si>
  <si>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</si>
  <si>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</si>
  <si>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</si>
  <si>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</si>
  <si>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</si>
  <si>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</si>
  <si>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</si>
  <si>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</si>
  <si>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</si>
  <si>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</si>
  <si>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</si>
  <si>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</si>
  <si>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</si>
  <si>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</si>
  <si>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</si>
  <si>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</si>
  <si>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</si>
  <si>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</si>
  <si>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</si>
  <si>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</si>
  <si>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</si>
  <si>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</si>
  <si>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</si>
  <si>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19.06.2018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</si>
</sst>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92888.49999999997</c:v>
                </c:pt>
                <c:pt idx="1">
                  <c:v>88677.10999999997</c:v>
                </c:pt>
                <c:pt idx="2">
                  <c:v>1229.5000000000002</c:v>
                </c:pt>
                <c:pt idx="3">
                  <c:v>2981.8899999999994</c:v>
                </c:pt>
              </c:numCache>
            </c:numRef>
          </c:val>
          <c:shape val="box"/>
        </c:ser>
        <c:shape val="box"/>
        <c:axId val="37389854"/>
        <c:axId val="964367"/>
      </c:bar3D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9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403298.1</c:v>
                </c:pt>
                <c:pt idx="1">
                  <c:v>151856.9</c:v>
                </c:pt>
                <c:pt idx="2">
                  <c:v>327951.5000000001</c:v>
                </c:pt>
                <c:pt idx="3">
                  <c:v>17.900000000000002</c:v>
                </c:pt>
                <c:pt idx="4">
                  <c:v>14737.899999999998</c:v>
                </c:pt>
                <c:pt idx="5">
                  <c:v>49680.99999999999</c:v>
                </c:pt>
                <c:pt idx="6">
                  <c:v>5876.099999999999</c:v>
                </c:pt>
                <c:pt idx="7">
                  <c:v>5033.69999999988</c:v>
                </c:pt>
              </c:numCache>
            </c:numRef>
          </c:val>
          <c:shape val="box"/>
        </c:ser>
        <c:shape val="box"/>
        <c:axId val="8679304"/>
        <c:axId val="11004873"/>
      </c:bar3D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183346.29999999996</c:v>
                </c:pt>
                <c:pt idx="1">
                  <c:v>122210.9</c:v>
                </c:pt>
                <c:pt idx="2">
                  <c:v>183346.29999999996</c:v>
                </c:pt>
              </c:numCache>
            </c:numRef>
          </c:val>
          <c:shape val="box"/>
        </c:ser>
        <c:shape val="box"/>
        <c:axId val="31934994"/>
        <c:axId val="18979491"/>
      </c:bar3D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10089.9</c:v>
                </c:pt>
                <c:pt idx="1">
                  <c:v>5474.700000000001</c:v>
                </c:pt>
                <c:pt idx="2">
                  <c:v>59.6</c:v>
                </c:pt>
                <c:pt idx="3">
                  <c:v>977.8999999999999</c:v>
                </c:pt>
                <c:pt idx="4">
                  <c:v>318.5</c:v>
                </c:pt>
                <c:pt idx="5">
                  <c:v>34.2</c:v>
                </c:pt>
                <c:pt idx="6">
                  <c:v>3224.9999999999995</c:v>
                </c:pt>
              </c:numCache>
            </c:numRef>
          </c:val>
          <c:shape val="box"/>
        </c:ser>
        <c:shape val="box"/>
        <c:axId val="36597692"/>
        <c:axId val="60943773"/>
      </c:bar3D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14229.499999999996</c:v>
                </c:pt>
                <c:pt idx="1">
                  <c:v>8588.2</c:v>
                </c:pt>
                <c:pt idx="3">
                  <c:v>430.40000000000003</c:v>
                </c:pt>
                <c:pt idx="4">
                  <c:v>484.8000000000001</c:v>
                </c:pt>
                <c:pt idx="5">
                  <c:v>660</c:v>
                </c:pt>
                <c:pt idx="6">
                  <c:v>4066.099999999996</c:v>
                </c:pt>
              </c:numCache>
            </c:numRef>
          </c:val>
          <c:shape val="box"/>
        </c:ser>
        <c:shape val="box"/>
        <c:axId val="11623046"/>
        <c:axId val="37498551"/>
      </c:bar3D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98551"/>
        <c:crosses val="autoZero"/>
        <c:auto val="1"/>
        <c:lblOffset val="100"/>
        <c:tickLblSkip val="2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1709.1000000000001</c:v>
                </c:pt>
                <c:pt idx="1">
                  <c:v>1316.5000000000002</c:v>
                </c:pt>
                <c:pt idx="3">
                  <c:v>219.69999999999996</c:v>
                </c:pt>
                <c:pt idx="4">
                  <c:v>0</c:v>
                </c:pt>
                <c:pt idx="5">
                  <c:v>172.89999999999995</c:v>
                </c:pt>
              </c:numCache>
            </c:numRef>
          </c:val>
          <c:shape val="box"/>
        </c:ser>
        <c:shape val="box"/>
        <c:axId val="1942640"/>
        <c:axId val="17483761"/>
      </c:bar3D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17662.100000000002</c:v>
                </c:pt>
              </c:numCache>
            </c:numRef>
          </c:val>
          <c:shape val="box"/>
        </c:ser>
        <c:shape val="box"/>
        <c:axId val="23136122"/>
        <c:axId val="6898507"/>
      </c:bar3D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403298.1</c:v>
                </c:pt>
                <c:pt idx="1">
                  <c:v>183346.29999999996</c:v>
                </c:pt>
                <c:pt idx="2">
                  <c:v>10089.9</c:v>
                </c:pt>
                <c:pt idx="3">
                  <c:v>14229.499999999996</c:v>
                </c:pt>
                <c:pt idx="4">
                  <c:v>1709.1000000000001</c:v>
                </c:pt>
                <c:pt idx="5">
                  <c:v>92888.49999999997</c:v>
                </c:pt>
                <c:pt idx="6">
                  <c:v>17662.100000000002</c:v>
                </c:pt>
              </c:numCache>
            </c:numRef>
          </c:val>
          <c:shape val="box"/>
        </c:ser>
        <c:shape val="box"/>
        <c:axId val="62086564"/>
        <c:axId val="21908165"/>
      </c:bar3D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30214.999999999996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438240.8100000001</c:v>
                </c:pt>
                <c:pt idx="1">
                  <c:v>59570.39999999998</c:v>
                </c:pt>
                <c:pt idx="2">
                  <c:v>15253.899999999998</c:v>
                </c:pt>
                <c:pt idx="3">
                  <c:v>12771.2</c:v>
                </c:pt>
                <c:pt idx="4">
                  <c:v>17.900000000000002</c:v>
                </c:pt>
                <c:pt idx="5">
                  <c:v>357076.9899999997</c:v>
                </c:pt>
              </c:numCache>
            </c:numRef>
          </c:val>
          <c:shape val="box"/>
        </c:ser>
        <c:shape val="box"/>
        <c:axId val="62955758"/>
        <c:axId val="29730911"/>
      </c:bar3D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8" sqref="K12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168"/>
    </row>
    <row r="6" spans="1:11" ht="18.75" thickBot="1">
      <c r="A6" s="20" t="s">
        <v>26</v>
      </c>
      <c r="B6" s="39">
        <f>478344.1-32.4</f>
        <v>478311.69999999995</v>
      </c>
      <c r="C6" s="40">
        <f>826775+13431.5+510-13431.5+16-2334</f>
        <v>824967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</f>
        <v>403298.1</v>
      </c>
      <c r="E6" s="3">
        <f>D6/D154*100</f>
        <v>45.67718300134824</v>
      </c>
      <c r="F6" s="3">
        <f>D6/B6*100</f>
        <v>84.31700499904142</v>
      </c>
      <c r="G6" s="3">
        <f aca="true" t="shared" si="0" ref="G6:G43">D6/C6*100</f>
        <v>48.88657364476397</v>
      </c>
      <c r="H6" s="41">
        <f>B6-D6</f>
        <v>75013.59999999998</v>
      </c>
      <c r="I6" s="41">
        <f aca="true" t="shared" si="1" ref="I6:I43">C6-D6</f>
        <v>421668.9</v>
      </c>
      <c r="J6" s="168"/>
      <c r="K6" s="154"/>
    </row>
    <row r="7" spans="1:12" s="95" customFormat="1" ht="18.75">
      <c r="A7" s="141" t="s">
        <v>81</v>
      </c>
      <c r="B7" s="142">
        <v>163866.5</v>
      </c>
      <c r="C7" s="143">
        <v>262517.6</v>
      </c>
      <c r="D7" s="144">
        <f>8282.7+10875.2+9132.6+9963.6+4.3+9215.1+9968.6+9459.9+11450.4+9572.3+23759.4-0.1+3644+36528.9</f>
        <v>151856.9</v>
      </c>
      <c r="E7" s="145">
        <f>D7/D6*100</f>
        <v>37.65376033261749</v>
      </c>
      <c r="F7" s="145">
        <f>D7/B7*100</f>
        <v>92.67110727329869</v>
      </c>
      <c r="G7" s="145">
        <f>D7/C7*100</f>
        <v>57.84636915772504</v>
      </c>
      <c r="H7" s="144">
        <f>B7-D7</f>
        <v>12009.600000000006</v>
      </c>
      <c r="I7" s="144">
        <f t="shared" si="1"/>
        <v>110660.69999999998</v>
      </c>
      <c r="J7" s="169"/>
      <c r="K7" s="154"/>
      <c r="L7" s="140"/>
    </row>
    <row r="8" spans="1:12" s="94" customFormat="1" ht="18">
      <c r="A8" s="103" t="s">
        <v>3</v>
      </c>
      <c r="B8" s="127">
        <v>381419.8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</f>
        <v>327951.5000000001</v>
      </c>
      <c r="E8" s="107">
        <f>D8/D6*100</f>
        <v>81.31739276728557</v>
      </c>
      <c r="F8" s="107">
        <f>D8/B8*100</f>
        <v>85.9817712662007</v>
      </c>
      <c r="G8" s="107">
        <f t="shared" si="0"/>
        <v>50.02025509832113</v>
      </c>
      <c r="H8" s="105">
        <f>B8-D8</f>
        <v>53468.29999999987</v>
      </c>
      <c r="I8" s="105">
        <f t="shared" si="1"/>
        <v>327685.8999999999</v>
      </c>
      <c r="J8" s="168"/>
      <c r="K8" s="154">
        <f>H18-H19</f>
        <v>17899.300000000047</v>
      </c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</f>
        <v>17.900000000000002</v>
      </c>
      <c r="E9" s="129">
        <f>D9/D6*100</f>
        <v>0.004438404247379297</v>
      </c>
      <c r="F9" s="107">
        <f>D9/B9*100</f>
        <v>58.11688311688312</v>
      </c>
      <c r="G9" s="107">
        <f t="shared" si="0"/>
        <v>18.321392016376663</v>
      </c>
      <c r="H9" s="105">
        <f aca="true" t="shared" si="2" ref="H9:H43">B9-D9</f>
        <v>12.899999999999999</v>
      </c>
      <c r="I9" s="105">
        <f t="shared" si="1"/>
        <v>79.8</v>
      </c>
      <c r="J9" s="168"/>
      <c r="K9" s="154"/>
      <c r="L9" s="140"/>
    </row>
    <row r="10" spans="1:12" s="94" customFormat="1" ht="18">
      <c r="A10" s="103" t="s">
        <v>1</v>
      </c>
      <c r="B10" s="127">
        <v>23709.2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</f>
        <v>14737.899999999998</v>
      </c>
      <c r="E10" s="107">
        <f>D10/D6*100</f>
        <v>3.6543440199693475</v>
      </c>
      <c r="F10" s="107">
        <f aca="true" t="shared" si="3" ref="F10:F41">D10/B10*100</f>
        <v>62.161102019469226</v>
      </c>
      <c r="G10" s="107">
        <f t="shared" si="0"/>
        <v>33.20723002325287</v>
      </c>
      <c r="H10" s="105">
        <f t="shared" si="2"/>
        <v>8971.300000000003</v>
      </c>
      <c r="I10" s="105">
        <f t="shared" si="1"/>
        <v>29643.700000000008</v>
      </c>
      <c r="J10" s="168"/>
      <c r="K10" s="154"/>
      <c r="L10" s="140"/>
    </row>
    <row r="11" spans="1:12" s="94" customFormat="1" ht="18">
      <c r="A11" s="103" t="s">
        <v>0</v>
      </c>
      <c r="B11" s="127">
        <v>52258.5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</f>
        <v>49680.99999999999</v>
      </c>
      <c r="E11" s="107">
        <f>D11/D6*100</f>
        <v>12.318679408606188</v>
      </c>
      <c r="F11" s="107">
        <f t="shared" si="3"/>
        <v>95.06778801534678</v>
      </c>
      <c r="G11" s="107">
        <f t="shared" si="0"/>
        <v>56.345296260507816</v>
      </c>
      <c r="H11" s="105">
        <f t="shared" si="2"/>
        <v>2577.5000000000073</v>
      </c>
      <c r="I11" s="105">
        <f t="shared" si="1"/>
        <v>38491.4</v>
      </c>
      <c r="J11" s="168"/>
      <c r="K11" s="154"/>
      <c r="L11" s="140"/>
    </row>
    <row r="12" spans="1:12" s="94" customFormat="1" ht="18">
      <c r="A12" s="103" t="s">
        <v>14</v>
      </c>
      <c r="B12" s="127">
        <v>6519.6</v>
      </c>
      <c r="C12" s="128">
        <v>12738</v>
      </c>
      <c r="D12" s="105">
        <f>874.5+251.8+346.3+159.7+538.5+10.6+57+168.9+31.7+165.3+10.6+439.5+199.1+10.6+10.6+19+325.9+10.6+160.6+453.5-0.1+21.1+21.1+563.9+19+160.9+282.3+19+21.1+523.5</f>
        <v>5876.099999999999</v>
      </c>
      <c r="E12" s="107">
        <f>D12/D6*100</f>
        <v>1.457011575308686</v>
      </c>
      <c r="F12" s="107">
        <f t="shared" si="3"/>
        <v>90.12976256212036</v>
      </c>
      <c r="G12" s="107">
        <f t="shared" si="0"/>
        <v>46.1304757418747</v>
      </c>
      <c r="H12" s="105">
        <f>B12-D12</f>
        <v>643.5000000000009</v>
      </c>
      <c r="I12" s="105">
        <f t="shared" si="1"/>
        <v>6861.900000000001</v>
      </c>
      <c r="J12" s="168"/>
      <c r="K12" s="154">
        <f>H18-H19</f>
        <v>17899.300000000047</v>
      </c>
      <c r="L12" s="140"/>
    </row>
    <row r="13" spans="1:12" s="94" customFormat="1" ht="18.75" thickBot="1">
      <c r="A13" s="103" t="s">
        <v>27</v>
      </c>
      <c r="B13" s="128">
        <f>B6-B8-B9-B10-B11-B12</f>
        <v>14373.799999999965</v>
      </c>
      <c r="C13" s="128">
        <f>C6-C8-C9-C10-C11-C12</f>
        <v>23939.899999999965</v>
      </c>
      <c r="D13" s="128">
        <f>D6-D8-D9-D10-D11-D12</f>
        <v>5033.69999999988</v>
      </c>
      <c r="E13" s="107">
        <f>D13/D6*100</f>
        <v>1.2481338245828284</v>
      </c>
      <c r="F13" s="107">
        <f t="shared" si="3"/>
        <v>35.01996688419132</v>
      </c>
      <c r="G13" s="107">
        <f t="shared" si="0"/>
        <v>21.026403619062265</v>
      </c>
      <c r="H13" s="105">
        <f t="shared" si="2"/>
        <v>9340.100000000086</v>
      </c>
      <c r="I13" s="105">
        <f t="shared" si="1"/>
        <v>18906.200000000084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f>211802.5+185.6</f>
        <v>211988.1</v>
      </c>
      <c r="C18" s="40">
        <f>424151.5+750.3</f>
        <v>424901.8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+49.5-442</f>
        <v>183346.29999999996</v>
      </c>
      <c r="E18" s="3">
        <f>D18/D154*100</f>
        <v>20.765638364574727</v>
      </c>
      <c r="F18" s="3">
        <f>D18/B18*100</f>
        <v>86.48895857833527</v>
      </c>
      <c r="G18" s="3">
        <f t="shared" si="0"/>
        <v>43.15027613439151</v>
      </c>
      <c r="H18" s="41">
        <f>B18-D18</f>
        <v>28641.800000000047</v>
      </c>
      <c r="I18" s="41">
        <f t="shared" si="1"/>
        <v>241555.50000000003</v>
      </c>
      <c r="J18" s="168"/>
      <c r="K18" s="154"/>
    </row>
    <row r="19" spans="1:13" s="95" customFormat="1" ht="18.75">
      <c r="A19" s="141" t="s">
        <v>82</v>
      </c>
      <c r="B19" s="142">
        <f>132767.8+185.6</f>
        <v>132953.4</v>
      </c>
      <c r="C19" s="143">
        <f>226186+750.3</f>
        <v>226936.3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+49.5-442.2</f>
        <v>122210.9</v>
      </c>
      <c r="E19" s="145">
        <f>D19/D18*100</f>
        <v>66.65577652780559</v>
      </c>
      <c r="F19" s="145">
        <f t="shared" si="3"/>
        <v>91.92010132873624</v>
      </c>
      <c r="G19" s="145">
        <f t="shared" si="0"/>
        <v>53.852512797644096</v>
      </c>
      <c r="H19" s="144">
        <f t="shared" si="2"/>
        <v>10742.5</v>
      </c>
      <c r="I19" s="144">
        <f t="shared" si="1"/>
        <v>104725.4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211988.1</v>
      </c>
      <c r="C25" s="128">
        <f>C18</f>
        <v>424901.8</v>
      </c>
      <c r="D25" s="128">
        <f>D18</f>
        <v>183346.29999999996</v>
      </c>
      <c r="E25" s="107">
        <f>D25/D18*100</f>
        <v>100</v>
      </c>
      <c r="F25" s="107">
        <f t="shared" si="3"/>
        <v>86.48895857833527</v>
      </c>
      <c r="G25" s="107">
        <f t="shared" si="0"/>
        <v>43.15027613439151</v>
      </c>
      <c r="H25" s="105">
        <f t="shared" si="2"/>
        <v>28641.800000000047</v>
      </c>
      <c r="I25" s="105">
        <f t="shared" si="1"/>
        <v>241555.50000000003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v>12240.8</v>
      </c>
      <c r="C33" s="40">
        <v>24805.1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</f>
        <v>10089.9</v>
      </c>
      <c r="E33" s="3">
        <f>D33/D154*100</f>
        <v>1.1427730722393774</v>
      </c>
      <c r="F33" s="3">
        <f>D33/B33*100</f>
        <v>82.42843604993138</v>
      </c>
      <c r="G33" s="3">
        <f t="shared" si="0"/>
        <v>40.67671567540546</v>
      </c>
      <c r="H33" s="41">
        <f t="shared" si="2"/>
        <v>2150.8999999999996</v>
      </c>
      <c r="I33" s="41">
        <f t="shared" si="1"/>
        <v>14715.199999999999</v>
      </c>
      <c r="J33" s="167"/>
      <c r="K33" s="154"/>
    </row>
    <row r="34" spans="1:11" s="94" customFormat="1" ht="18">
      <c r="A34" s="103" t="s">
        <v>3</v>
      </c>
      <c r="B34" s="127">
        <v>6385.5</v>
      </c>
      <c r="C34" s="128">
        <v>12906.6</v>
      </c>
      <c r="D34" s="105">
        <f>364.6+548.1+389.3+522.2+63+395+556.7+63+391.3+512.8+63+394.6+664.3+89.8+0.3+456.7</f>
        <v>5474.700000000001</v>
      </c>
      <c r="E34" s="107">
        <f>D34/D33*100</f>
        <v>54.25920970475426</v>
      </c>
      <c r="F34" s="107">
        <f t="shared" si="3"/>
        <v>85.73643410852715</v>
      </c>
      <c r="G34" s="107">
        <f t="shared" si="0"/>
        <v>42.41783273673935</v>
      </c>
      <c r="H34" s="105">
        <f t="shared" si="2"/>
        <v>910.7999999999993</v>
      </c>
      <c r="I34" s="105">
        <f t="shared" si="1"/>
        <v>7431.9</v>
      </c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0.5906896996005907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1014.6</v>
      </c>
      <c r="C36" s="128">
        <v>1783</v>
      </c>
      <c r="D36" s="105">
        <f>0.3+11.3+141.7+12.6+0.9+12.9+1.3+0.5+169.4+1.1+0.1+0.4+11.3+166.1+3.8+5.1+2.9+0.2+0.5+11.9+319.9+44.3+12.2+0.9-0.2+8.4+29.5+8.6</f>
        <v>977.8999999999999</v>
      </c>
      <c r="E36" s="107">
        <f>D36/D33*100</f>
        <v>9.69187008790969</v>
      </c>
      <c r="F36" s="107">
        <f t="shared" si="3"/>
        <v>96.38281095998421</v>
      </c>
      <c r="G36" s="107">
        <f t="shared" si="0"/>
        <v>54.84576556365675</v>
      </c>
      <c r="H36" s="105">
        <f t="shared" si="2"/>
        <v>36.70000000000016</v>
      </c>
      <c r="I36" s="105">
        <f t="shared" si="1"/>
        <v>805.1000000000001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</f>
        <v>318.5</v>
      </c>
      <c r="E37" s="113">
        <f>D37/D33*100</f>
        <v>3.1566219685031567</v>
      </c>
      <c r="F37" s="113">
        <f t="shared" si="3"/>
        <v>96.31085576050802</v>
      </c>
      <c r="G37" s="113">
        <f t="shared" si="0"/>
        <v>31.59722222222222</v>
      </c>
      <c r="H37" s="109">
        <f t="shared" si="2"/>
        <v>12.199999999999989</v>
      </c>
      <c r="I37" s="109">
        <f t="shared" si="1"/>
        <v>689.5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0.338952814200339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4416.199999999999</v>
      </c>
      <c r="C39" s="127">
        <f>C33-C34-C36-C37-C35-C38</f>
        <v>8936.899999999998</v>
      </c>
      <c r="D39" s="127">
        <f>D33-D34-D36-D37-D35-D38</f>
        <v>3224.9999999999995</v>
      </c>
      <c r="E39" s="107">
        <f>D39/D33*100</f>
        <v>31.962655725031958</v>
      </c>
      <c r="F39" s="107">
        <f t="shared" si="3"/>
        <v>73.02658394094472</v>
      </c>
      <c r="G39" s="107">
        <f t="shared" si="0"/>
        <v>36.08633866329488</v>
      </c>
      <c r="H39" s="105">
        <f>B39-D39</f>
        <v>1191.1999999999994</v>
      </c>
      <c r="I39" s="105">
        <f t="shared" si="1"/>
        <v>5711.899999999998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9.5" thickBot="1">
      <c r="A43" s="12" t="s">
        <v>16</v>
      </c>
      <c r="B43" s="77">
        <f>1153.7-36</f>
        <v>1117.7</v>
      </c>
      <c r="C43" s="40">
        <f>1126.9+467</f>
        <v>1593.9</v>
      </c>
      <c r="D43" s="41">
        <f>63.9+1.1+0.6+70.8+0.5+48+6.7+2+13.7+10.4+20.2+0.7+37.4+27+181.7+0.2</f>
        <v>484.8999999999999</v>
      </c>
      <c r="E43" s="3">
        <f>D43/D154*100</f>
        <v>0.05491934139375752</v>
      </c>
      <c r="F43" s="3">
        <f>D43/B43*100</f>
        <v>43.38373445468371</v>
      </c>
      <c r="G43" s="3">
        <f t="shared" si="0"/>
        <v>30.422234770060854</v>
      </c>
      <c r="H43" s="41">
        <f t="shared" si="2"/>
        <v>632.8000000000002</v>
      </c>
      <c r="I43" s="41">
        <f t="shared" si="1"/>
        <v>1109.0000000000002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6805.3</v>
      </c>
      <c r="C45" s="40">
        <v>13576.3</v>
      </c>
      <c r="D45" s="41">
        <f>237.1+562.8+52.3+349.2+679.9+375.9+891+78.3+327.4+13.5+670.2+386.5+179.9+781.7-0.1+25.5+366.5</f>
        <v>5977.599999999999</v>
      </c>
      <c r="E45" s="3">
        <f>D45/D154*100</f>
        <v>0.6770176430507836</v>
      </c>
      <c r="F45" s="3">
        <f>D45/B45*100</f>
        <v>87.83742083376191</v>
      </c>
      <c r="G45" s="3">
        <f aca="true" t="shared" si="5" ref="G45:G76">D45/C45*100</f>
        <v>44.0296693502648</v>
      </c>
      <c r="H45" s="41">
        <f>B45-D45</f>
        <v>827.7000000000007</v>
      </c>
      <c r="I45" s="41">
        <f aca="true" t="shared" si="6" ref="I45:I77">C45-D45</f>
        <v>7598.7</v>
      </c>
      <c r="J45" s="94"/>
      <c r="K45" s="154"/>
    </row>
    <row r="46" spans="1:11" s="94" customFormat="1" ht="18">
      <c r="A46" s="103" t="s">
        <v>3</v>
      </c>
      <c r="B46" s="127">
        <v>6036.4</v>
      </c>
      <c r="C46" s="128">
        <v>12256.4</v>
      </c>
      <c r="D46" s="105">
        <f>237.1+551.8+334.1+652.5+314.7+746.1+319.2+661.7+342.8+781.7+0.2-0.1+366.5</f>
        <v>5308.299999999999</v>
      </c>
      <c r="E46" s="107">
        <f>D46/D45*100</f>
        <v>88.80319860813705</v>
      </c>
      <c r="F46" s="107">
        <f aca="true" t="shared" si="7" ref="F46:F74">D46/B46*100</f>
        <v>87.9381750712345</v>
      </c>
      <c r="G46" s="107">
        <f t="shared" si="5"/>
        <v>43.31043373258052</v>
      </c>
      <c r="H46" s="105">
        <f aca="true" t="shared" si="8" ref="H46:H74">B46-D46</f>
        <v>728.1000000000004</v>
      </c>
      <c r="I46" s="105">
        <f t="shared" si="6"/>
        <v>6948.1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49</v>
      </c>
      <c r="C48" s="128">
        <v>98.9</v>
      </c>
      <c r="D48" s="105">
        <f>5.7+6.1+6.5+7.7</f>
        <v>26</v>
      </c>
      <c r="E48" s="107">
        <f>D48/D45*100</f>
        <v>0.43495717344753754</v>
      </c>
      <c r="F48" s="107">
        <f t="shared" si="7"/>
        <v>53.06122448979592</v>
      </c>
      <c r="G48" s="107">
        <f t="shared" si="5"/>
        <v>26.289180990899897</v>
      </c>
      <c r="H48" s="105">
        <f t="shared" si="8"/>
        <v>23</v>
      </c>
      <c r="I48" s="105">
        <f t="shared" si="6"/>
        <v>72.9</v>
      </c>
      <c r="K48" s="154"/>
    </row>
    <row r="49" spans="1:11" s="94" customFormat="1" ht="18">
      <c r="A49" s="103" t="s">
        <v>0</v>
      </c>
      <c r="B49" s="127">
        <v>562.4</v>
      </c>
      <c r="C49" s="128">
        <v>879.8</v>
      </c>
      <c r="D49" s="105">
        <f>7.3+51.9+12.7-0.1+54.5+131.2+49.5+2.4+7.9+11.2+178.3+0.4</f>
        <v>507.19999999999993</v>
      </c>
      <c r="E49" s="107">
        <f>D49/D45*100</f>
        <v>8.485010706638116</v>
      </c>
      <c r="F49" s="107">
        <f t="shared" si="7"/>
        <v>90.18492176386911</v>
      </c>
      <c r="G49" s="107">
        <f t="shared" si="5"/>
        <v>57.64946578767901</v>
      </c>
      <c r="H49" s="105">
        <f t="shared" si="8"/>
        <v>55.200000000000045</v>
      </c>
      <c r="I49" s="105">
        <f t="shared" si="6"/>
        <v>372.6</v>
      </c>
      <c r="K49" s="154"/>
    </row>
    <row r="50" spans="1:11" s="94" customFormat="1" ht="18.75" thickBot="1">
      <c r="A50" s="103" t="s">
        <v>27</v>
      </c>
      <c r="B50" s="128">
        <f>B45-B46-B49-B48-B47</f>
        <v>156.70000000000056</v>
      </c>
      <c r="C50" s="128">
        <f>C45-C46-C49-C48-C47</f>
        <v>339.6999999999997</v>
      </c>
      <c r="D50" s="128">
        <f>D45-D46-D49-D48-D47</f>
        <v>136.10000000000025</v>
      </c>
      <c r="E50" s="107">
        <f>D50/D45*100</f>
        <v>2.276833511777306</v>
      </c>
      <c r="F50" s="107">
        <f t="shared" si="7"/>
        <v>86.85386088066353</v>
      </c>
      <c r="G50" s="107">
        <f t="shared" si="5"/>
        <v>40.06476302619969</v>
      </c>
      <c r="H50" s="105">
        <f t="shared" si="8"/>
        <v>20.600000000000307</v>
      </c>
      <c r="I50" s="105">
        <f t="shared" si="6"/>
        <v>203.59999999999945</v>
      </c>
      <c r="K50" s="154"/>
    </row>
    <row r="51" spans="1:11" ht="18.75" thickBot="1">
      <c r="A51" s="20" t="s">
        <v>4</v>
      </c>
      <c r="B51" s="39">
        <v>17581.2</v>
      </c>
      <c r="C51" s="40">
        <f>37135.4+450</f>
        <v>37585.4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</f>
        <v>14229.499999999996</v>
      </c>
      <c r="E51" s="3">
        <f>D51/D154*100</f>
        <v>1.6116204750721235</v>
      </c>
      <c r="F51" s="3">
        <f>D51/B51*100</f>
        <v>80.93588606010964</v>
      </c>
      <c r="G51" s="3">
        <f t="shared" si="5"/>
        <v>37.85911550761731</v>
      </c>
      <c r="H51" s="41">
        <f>B51-D51</f>
        <v>3351.7000000000044</v>
      </c>
      <c r="I51" s="41">
        <f t="shared" si="6"/>
        <v>23355.900000000005</v>
      </c>
      <c r="J51" s="94"/>
      <c r="K51" s="154"/>
    </row>
    <row r="52" spans="1:11" s="94" customFormat="1" ht="18">
      <c r="A52" s="103" t="s">
        <v>3</v>
      </c>
      <c r="B52" s="127">
        <v>10635</v>
      </c>
      <c r="C52" s="128">
        <v>20097.4</v>
      </c>
      <c r="D52" s="105">
        <f>632.9+34.3+767.3+737.6+710.6+649.6+792.4+1.6+643.1+825.6+650.1+947+1196.1</f>
        <v>8588.2</v>
      </c>
      <c r="E52" s="107">
        <f>D52/D51*100</f>
        <v>60.35489651779755</v>
      </c>
      <c r="F52" s="107">
        <f t="shared" si="7"/>
        <v>80.75411377527034</v>
      </c>
      <c r="G52" s="107">
        <f t="shared" si="5"/>
        <v>42.73289082169833</v>
      </c>
      <c r="H52" s="105">
        <f t="shared" si="8"/>
        <v>2046.7999999999993</v>
      </c>
      <c r="I52" s="105">
        <f t="shared" si="6"/>
        <v>11509.2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501</v>
      </c>
      <c r="C54" s="128">
        <v>993.6</v>
      </c>
      <c r="D54" s="105">
        <f>0.2+4.2+9+4.7+9.6+6.3+43.2+2.7+18.4+3.8+23.8+5.3+12.2+43.2+26.7+3.8+22.4+0.4+59.7+30.3+3.3+19.2+7+2.9+21+4.4-0.4+4.8+2.2+3.6+32.5</f>
        <v>430.40000000000003</v>
      </c>
      <c r="E54" s="107">
        <f>D54/D51*100</f>
        <v>3.024702203169473</v>
      </c>
      <c r="F54" s="107">
        <f t="shared" si="7"/>
        <v>85.90818363273453</v>
      </c>
      <c r="G54" s="107">
        <f t="shared" si="5"/>
        <v>43.31723027375202</v>
      </c>
      <c r="H54" s="105">
        <f t="shared" si="8"/>
        <v>70.59999999999997</v>
      </c>
      <c r="I54" s="105">
        <f t="shared" si="6"/>
        <v>563.2</v>
      </c>
      <c r="K54" s="154"/>
    </row>
    <row r="55" spans="1:11" s="94" customFormat="1" ht="18">
      <c r="A55" s="103" t="s">
        <v>0</v>
      </c>
      <c r="B55" s="127">
        <v>605.6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</f>
        <v>484.8000000000001</v>
      </c>
      <c r="E55" s="107">
        <f>D55/D51*100</f>
        <v>3.4070065708563213</v>
      </c>
      <c r="F55" s="107">
        <f t="shared" si="7"/>
        <v>80.05284015852048</v>
      </c>
      <c r="G55" s="107">
        <f t="shared" si="5"/>
        <v>39.74096237396509</v>
      </c>
      <c r="H55" s="105">
        <f t="shared" si="8"/>
        <v>120.7999999999999</v>
      </c>
      <c r="I55" s="105">
        <f t="shared" si="6"/>
        <v>735.0999999999999</v>
      </c>
      <c r="K55" s="154"/>
    </row>
    <row r="56" spans="1:11" s="94" customFormat="1" ht="18">
      <c r="A56" s="103" t="s">
        <v>14</v>
      </c>
      <c r="B56" s="127">
        <v>660</v>
      </c>
      <c r="C56" s="128">
        <v>1320</v>
      </c>
      <c r="D56" s="128">
        <f>110+110+110+110+110+110</f>
        <v>660</v>
      </c>
      <c r="E56" s="107">
        <f>D56/D51*100</f>
        <v>4.638251519730139</v>
      </c>
      <c r="F56" s="107">
        <f>D56/B56*100</f>
        <v>100</v>
      </c>
      <c r="G56" s="107">
        <f>D56/C56*100</f>
        <v>50</v>
      </c>
      <c r="H56" s="105">
        <f t="shared" si="8"/>
        <v>0</v>
      </c>
      <c r="I56" s="105">
        <f t="shared" si="6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5179.6</v>
      </c>
      <c r="C57" s="128">
        <f>C51-C52-C55-C54-C53-C56</f>
        <v>13940.6</v>
      </c>
      <c r="D57" s="128">
        <f>D51-D52-D55-D54-D53-D56</f>
        <v>4066.099999999996</v>
      </c>
      <c r="E57" s="107">
        <f>D57/D51*100</f>
        <v>28.575143188446518</v>
      </c>
      <c r="F57" s="107">
        <f t="shared" si="7"/>
        <v>78.5022009421576</v>
      </c>
      <c r="G57" s="107">
        <f t="shared" si="5"/>
        <v>29.167324218469766</v>
      </c>
      <c r="H57" s="105">
        <f>B57-D57</f>
        <v>1113.5000000000045</v>
      </c>
      <c r="I57" s="105">
        <f>C57-D57</f>
        <v>9874.500000000004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f>3979.5+32.4</f>
        <v>4011.9</v>
      </c>
      <c r="C59" s="40">
        <f>9264.2+300</f>
        <v>9564.2</v>
      </c>
      <c r="D59" s="41">
        <f>87.7+79.1+87.8+43.2+40.5+47.6+13+155.9+18+2.1+84.2+29.6+0.7+0.5+5.7+85.8+109.2+19+38.3+85.7+1.2+4.7+89.8+79.1+0.4+114.1+2.5+187.7+22+17.7+67.3-3+41+50.9+0.1</f>
        <v>1709.1000000000001</v>
      </c>
      <c r="E59" s="3">
        <f>D59/D154*100</f>
        <v>0.19357114121689215</v>
      </c>
      <c r="F59" s="3">
        <f>D59/B59*100</f>
        <v>42.600762730875644</v>
      </c>
      <c r="G59" s="3">
        <f t="shared" si="5"/>
        <v>17.86976432947868</v>
      </c>
      <c r="H59" s="41">
        <f>B59-D59</f>
        <v>2302.8</v>
      </c>
      <c r="I59" s="41">
        <f t="shared" si="6"/>
        <v>7855.1</v>
      </c>
      <c r="J59" s="94"/>
      <c r="K59" s="154"/>
    </row>
    <row r="60" spans="1:11" s="94" customFormat="1" ht="18">
      <c r="A60" s="103" t="s">
        <v>3</v>
      </c>
      <c r="B60" s="127">
        <v>1564.4</v>
      </c>
      <c r="C60" s="128">
        <v>3119.7</v>
      </c>
      <c r="D60" s="105">
        <f>77.7+79.1+76.9+40.5+47.3+155.9+45+29.2+85.8+95.3+38.3+30.7+89.8+79.1+80.7+178.9+50.9+35.4</f>
        <v>1316.5000000000002</v>
      </c>
      <c r="E60" s="107">
        <f>D60/D59*100</f>
        <v>77.02884559124686</v>
      </c>
      <c r="F60" s="107">
        <f t="shared" si="7"/>
        <v>84.1536691383278</v>
      </c>
      <c r="G60" s="107">
        <f t="shared" si="5"/>
        <v>42.199570471519706</v>
      </c>
      <c r="H60" s="105">
        <f t="shared" si="8"/>
        <v>247.89999999999986</v>
      </c>
      <c r="I60" s="105">
        <f t="shared" si="6"/>
        <v>1803.1999999999996</v>
      </c>
      <c r="K60" s="154"/>
    </row>
    <row r="61" spans="1:11" s="94" customFormat="1" ht="18">
      <c r="A61" s="103" t="s">
        <v>1</v>
      </c>
      <c r="B61" s="127">
        <f>263.2+32.4</f>
        <v>295.59999999999997</v>
      </c>
      <c r="C61" s="128">
        <v>360.7</v>
      </c>
      <c r="D61" s="105"/>
      <c r="E61" s="107">
        <f>D61/D59*100</f>
        <v>0</v>
      </c>
      <c r="F61" s="107">
        <f>D61/B61*100</f>
        <v>0</v>
      </c>
      <c r="G61" s="107">
        <f t="shared" si="5"/>
        <v>0</v>
      </c>
      <c r="H61" s="105">
        <f t="shared" si="8"/>
        <v>295.59999999999997</v>
      </c>
      <c r="I61" s="105">
        <f t="shared" si="6"/>
        <v>360.7</v>
      </c>
      <c r="K61" s="154"/>
    </row>
    <row r="62" spans="1:11" s="94" customFormat="1" ht="18">
      <c r="A62" s="103" t="s">
        <v>0</v>
      </c>
      <c r="B62" s="127">
        <v>239.7</v>
      </c>
      <c r="C62" s="128">
        <v>393.7</v>
      </c>
      <c r="D62" s="105">
        <f>10.9+43.2+13-3+39.2+5.7+50.2+3.5+0.2+29.7+2.5+1.8+22+0.1+0.7</f>
        <v>219.69999999999996</v>
      </c>
      <c r="E62" s="107">
        <f>D62/D59*100</f>
        <v>12.85471885787841</v>
      </c>
      <c r="F62" s="107">
        <f t="shared" si="7"/>
        <v>91.65623696287024</v>
      </c>
      <c r="G62" s="107">
        <f t="shared" si="5"/>
        <v>55.80391160782321</v>
      </c>
      <c r="H62" s="105">
        <f t="shared" si="8"/>
        <v>20.00000000000003</v>
      </c>
      <c r="I62" s="105">
        <f t="shared" si="6"/>
        <v>174.00000000000003</v>
      </c>
      <c r="K62" s="154"/>
    </row>
    <row r="63" spans="1:11" s="94" customFormat="1" ht="18">
      <c r="A63" s="103" t="s">
        <v>14</v>
      </c>
      <c r="B63" s="127">
        <v>1633.1</v>
      </c>
      <c r="C63" s="128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1633.1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279.1000000000003</v>
      </c>
      <c r="C64" s="128">
        <f>C59-C60-C62-C63-C61</f>
        <v>823.5000000000007</v>
      </c>
      <c r="D64" s="128">
        <f>D59-D60-D62-D63-D61</f>
        <v>172.89999999999995</v>
      </c>
      <c r="E64" s="107">
        <f>D64/D59*100</f>
        <v>10.116435550874725</v>
      </c>
      <c r="F64" s="107">
        <f t="shared" si="7"/>
        <v>61.949122178430585</v>
      </c>
      <c r="G64" s="107">
        <f t="shared" si="5"/>
        <v>20.995749848208842</v>
      </c>
      <c r="H64" s="105">
        <f t="shared" si="8"/>
        <v>106.20000000000036</v>
      </c>
      <c r="I64" s="105">
        <f t="shared" si="6"/>
        <v>650.6000000000007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386.20000000000005</v>
      </c>
      <c r="C69" s="40">
        <f>C70+C71</f>
        <v>541.8</v>
      </c>
      <c r="D69" s="41">
        <f>D70+D71</f>
        <v>227</v>
      </c>
      <c r="E69" s="30">
        <f>D69/D154*100</f>
        <v>0.02570981748068253</v>
      </c>
      <c r="F69" s="3">
        <f>D69/B69*100</f>
        <v>58.777835318487824</v>
      </c>
      <c r="G69" s="3">
        <f t="shared" si="5"/>
        <v>41.897379106681434</v>
      </c>
      <c r="H69" s="41">
        <f>B69-D69</f>
        <v>159.20000000000005</v>
      </c>
      <c r="I69" s="41">
        <f t="shared" si="6"/>
        <v>314.79999999999995</v>
      </c>
      <c r="J69" s="94"/>
      <c r="K69" s="154"/>
    </row>
    <row r="70" spans="1:11" s="94" customFormat="1" ht="18">
      <c r="A70" s="103" t="s">
        <v>8</v>
      </c>
      <c r="B70" s="127">
        <f>256.1+36-12</f>
        <v>280.1</v>
      </c>
      <c r="C70" s="128">
        <v>292.7</v>
      </c>
      <c r="D70" s="105">
        <f>169.5+50+6+1.5</f>
        <v>227</v>
      </c>
      <c r="E70" s="107">
        <f>D70/D69*100</f>
        <v>100</v>
      </c>
      <c r="F70" s="107">
        <f t="shared" si="7"/>
        <v>81.04248482684756</v>
      </c>
      <c r="G70" s="107">
        <f t="shared" si="5"/>
        <v>77.55380936112061</v>
      </c>
      <c r="H70" s="105">
        <f t="shared" si="8"/>
        <v>53.10000000000002</v>
      </c>
      <c r="I70" s="105">
        <f t="shared" si="6"/>
        <v>65.69999999999999</v>
      </c>
      <c r="K70" s="154"/>
    </row>
    <row r="71" spans="1:11" s="94" customFormat="1" ht="18.75" thickBot="1">
      <c r="A71" s="103" t="s">
        <v>9</v>
      </c>
      <c r="B71" s="127">
        <v>106.1</v>
      </c>
      <c r="C71" s="128">
        <f>293.1-30-14</f>
        <v>249.10000000000002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106.1</v>
      </c>
      <c r="I71" s="105">
        <f t="shared" si="6"/>
        <v>249.10000000000002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</f>
        <v>3500</v>
      </c>
      <c r="D77" s="55"/>
      <c r="E77" s="35"/>
      <c r="F77" s="35"/>
      <c r="G77" s="35"/>
      <c r="H77" s="55">
        <f>B77-D77</f>
        <v>0</v>
      </c>
      <c r="I77" s="55">
        <f t="shared" si="6"/>
        <v>3500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9.5" thickBot="1">
      <c r="A90" s="12" t="s">
        <v>10</v>
      </c>
      <c r="B90" s="46">
        <f>109554.8+50</f>
        <v>109604.8</v>
      </c>
      <c r="C90" s="40">
        <f>200580.6+2044.4+100</f>
        <v>202725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</f>
        <v>92888.49999999997</v>
      </c>
      <c r="E90" s="3">
        <f>D90/D154*100</f>
        <v>10.520468639006072</v>
      </c>
      <c r="F90" s="3">
        <f aca="true" t="shared" si="11" ref="F90:F96">D90/B90*100</f>
        <v>84.74856940571944</v>
      </c>
      <c r="G90" s="3">
        <f t="shared" si="9"/>
        <v>45.81995313848808</v>
      </c>
      <c r="H90" s="41">
        <f aca="true" t="shared" si="12" ref="H90:H96">B90-D90</f>
        <v>16716.300000000032</v>
      </c>
      <c r="I90" s="41">
        <f t="shared" si="10"/>
        <v>109836.50000000003</v>
      </c>
      <c r="J90" s="94"/>
      <c r="K90" s="154"/>
    </row>
    <row r="91" spans="1:11" s="94" customFormat="1" ht="18">
      <c r="A91" s="103" t="s">
        <v>3</v>
      </c>
      <c r="B91" s="127">
        <f>102192.2+45.2</f>
        <v>102237.4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</f>
        <v>88677.10999999997</v>
      </c>
      <c r="E91" s="107">
        <f>D91/D90*100</f>
        <v>95.46618795652853</v>
      </c>
      <c r="F91" s="107">
        <f t="shared" si="11"/>
        <v>86.73646825916931</v>
      </c>
      <c r="G91" s="107">
        <f t="shared" si="9"/>
        <v>46.68363750458664</v>
      </c>
      <c r="H91" s="105">
        <f t="shared" si="12"/>
        <v>13560.290000000023</v>
      </c>
      <c r="I91" s="105">
        <f t="shared" si="10"/>
        <v>101276.19000000002</v>
      </c>
      <c r="K91" s="154"/>
    </row>
    <row r="92" spans="1:11" s="94" customFormat="1" ht="18">
      <c r="A92" s="103" t="s">
        <v>25</v>
      </c>
      <c r="B92" s="127">
        <v>1536.1</v>
      </c>
      <c r="C92" s="128">
        <v>2776.4</v>
      </c>
      <c r="D92" s="105">
        <f>57.2+3.4+167+1.4+0.3+83.4+86.9+53.1+5.3+4.7+17+71.3+284.2+22.2+4.8+1.6+54.8+7+38.2+1.9+190+51.9+21+0.9</f>
        <v>1229.5000000000002</v>
      </c>
      <c r="E92" s="107">
        <f>D92/D90*100</f>
        <v>1.3236299434267973</v>
      </c>
      <c r="F92" s="107">
        <f t="shared" si="11"/>
        <v>80.04036195560187</v>
      </c>
      <c r="G92" s="107">
        <f t="shared" si="9"/>
        <v>44.2839648465639</v>
      </c>
      <c r="H92" s="105">
        <f t="shared" si="12"/>
        <v>306.5999999999997</v>
      </c>
      <c r="I92" s="105">
        <f t="shared" si="10"/>
        <v>1546.8999999999999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5831.300000000008</v>
      </c>
      <c r="C94" s="128">
        <f>C90-C91-C92-C93</f>
        <v>9995.300000000012</v>
      </c>
      <c r="D94" s="128">
        <f>D90-D91-D92-D93</f>
        <v>2981.8899999999994</v>
      </c>
      <c r="E94" s="107">
        <f>D94/D90*100</f>
        <v>3.2101821000446775</v>
      </c>
      <c r="F94" s="107">
        <f t="shared" si="11"/>
        <v>51.13593881295757</v>
      </c>
      <c r="G94" s="107">
        <f>D94/C94*100</f>
        <v>29.832921473092313</v>
      </c>
      <c r="H94" s="105">
        <f t="shared" si="12"/>
        <v>2849.410000000009</v>
      </c>
      <c r="I94" s="105">
        <f>C94-D94</f>
        <v>7013.410000000013</v>
      </c>
      <c r="K94" s="154"/>
    </row>
    <row r="95" spans="1:11" ht="18.75">
      <c r="A95" s="83" t="s">
        <v>12</v>
      </c>
      <c r="B95" s="92">
        <f>23556.9-312.7-1000</f>
        <v>22244.2</v>
      </c>
      <c r="C95" s="86">
        <f>46414.5+100+39.4+1153.5-64.6</f>
        <v>47642.8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</f>
        <v>17662.100000000002</v>
      </c>
      <c r="E95" s="82">
        <f>D95/D154*100</f>
        <v>2.0003936886588676</v>
      </c>
      <c r="F95" s="84">
        <f t="shared" si="11"/>
        <v>79.40092248765971</v>
      </c>
      <c r="G95" s="81">
        <f>D95/C95*100</f>
        <v>37.07191852703872</v>
      </c>
      <c r="H95" s="85">
        <f t="shared" si="12"/>
        <v>4582.0999999999985</v>
      </c>
      <c r="I95" s="88">
        <f>C95-D95</f>
        <v>29980.7</v>
      </c>
      <c r="J95" s="94"/>
      <c r="K95" s="154"/>
    </row>
    <row r="96" spans="1:11" s="94" customFormat="1" ht="18.75" thickBot="1">
      <c r="A96" s="130" t="s">
        <v>83</v>
      </c>
      <c r="B96" s="131">
        <v>6483.7</v>
      </c>
      <c r="C96" s="132">
        <v>12814.2</v>
      </c>
      <c r="D96" s="133">
        <f>194.6+1234+3.4+0.5+79.6+1026.4+0.7+86.4+939.3+4.2+87.7+624.7+8+489.4+90.3+1.9+597.9+5.5+67.2+2.1+31.9+0.2</f>
        <v>5575.899999999998</v>
      </c>
      <c r="E96" s="134">
        <f>D96/D95*100</f>
        <v>31.569858623832936</v>
      </c>
      <c r="F96" s="135">
        <f t="shared" si="11"/>
        <v>85.99873529003497</v>
      </c>
      <c r="G96" s="136">
        <f>D96/C96*100</f>
        <v>43.51344602082064</v>
      </c>
      <c r="H96" s="137">
        <f t="shared" si="12"/>
        <v>907.800000000002</v>
      </c>
      <c r="I96" s="126">
        <f>C96-D96</f>
        <v>7238.300000000003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9.5" thickBot="1">
      <c r="A102" s="12" t="s">
        <v>11</v>
      </c>
      <c r="B102" s="91">
        <f>8246.9-50</f>
        <v>8196.9</v>
      </c>
      <c r="C102" s="71">
        <f>11266.5-91.2+1707.2</f>
        <v>12882.5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</f>
        <v>6608.999999999999</v>
      </c>
      <c r="E102" s="17">
        <f>D102/D154*100</f>
        <v>0.7485294437437481</v>
      </c>
      <c r="F102" s="17">
        <f>D102/B102*100</f>
        <v>80.62804230867766</v>
      </c>
      <c r="G102" s="17">
        <f aca="true" t="shared" si="14" ref="G102:G152">D102/C102*100</f>
        <v>51.30215408499902</v>
      </c>
      <c r="H102" s="66">
        <f aca="true" t="shared" si="15" ref="H102:H108">B102-D102</f>
        <v>1587.9000000000005</v>
      </c>
      <c r="I102" s="66">
        <f aca="true" t="shared" si="16" ref="I102:I152">C102-D102</f>
        <v>6273.500000000001</v>
      </c>
      <c r="J102" s="95"/>
      <c r="K102" s="154"/>
    </row>
    <row r="103" spans="1:11" s="94" customFormat="1" ht="18.75" customHeight="1">
      <c r="A103" s="103" t="s">
        <v>3</v>
      </c>
      <c r="B103" s="119">
        <v>145.5</v>
      </c>
      <c r="C103" s="120">
        <v>363.8</v>
      </c>
      <c r="D103" s="120">
        <f>31.2+4.8+33.9</f>
        <v>69.9</v>
      </c>
      <c r="E103" s="121">
        <f>D103/D102*100</f>
        <v>1.0576486609169318</v>
      </c>
      <c r="F103" s="107">
        <f>D103/B103*100</f>
        <v>48.04123711340206</v>
      </c>
      <c r="G103" s="121">
        <f>D103/C103*100</f>
        <v>19.21385376580539</v>
      </c>
      <c r="H103" s="120">
        <f t="shared" si="15"/>
        <v>75.6</v>
      </c>
      <c r="I103" s="120">
        <f t="shared" si="16"/>
        <v>293.9</v>
      </c>
      <c r="K103" s="154"/>
    </row>
    <row r="104" spans="1:11" s="94" customFormat="1" ht="18">
      <c r="A104" s="122" t="s">
        <v>48</v>
      </c>
      <c r="B104" s="104">
        <f>7134.4-50</f>
        <v>7084.4</v>
      </c>
      <c r="C104" s="105">
        <f>8949.2-91.2+1682.1</f>
        <v>10540.1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</f>
        <v>6122</v>
      </c>
      <c r="E104" s="107">
        <f>D104/D102*100</f>
        <v>92.63126040248147</v>
      </c>
      <c r="F104" s="107">
        <f aca="true" t="shared" si="17" ref="F104:F152">D104/B104*100</f>
        <v>86.41522217830727</v>
      </c>
      <c r="G104" s="107">
        <f t="shared" si="14"/>
        <v>58.082940389559866</v>
      </c>
      <c r="H104" s="105">
        <f t="shared" si="15"/>
        <v>962.3999999999996</v>
      </c>
      <c r="I104" s="105">
        <f t="shared" si="16"/>
        <v>4418.1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967</v>
      </c>
      <c r="C106" s="124">
        <f>C102-C103-C104</f>
        <v>1978.6000000000004</v>
      </c>
      <c r="D106" s="124">
        <f>D102-D103-D104</f>
        <v>417.09999999999945</v>
      </c>
      <c r="E106" s="125">
        <f>D106/D102*100</f>
        <v>6.311090936601596</v>
      </c>
      <c r="F106" s="125">
        <f t="shared" si="17"/>
        <v>43.1334022750775</v>
      </c>
      <c r="G106" s="125">
        <f t="shared" si="14"/>
        <v>21.0805620135449</v>
      </c>
      <c r="H106" s="126">
        <f t="shared" si="15"/>
        <v>549.9000000000005</v>
      </c>
      <c r="I106" s="126">
        <f t="shared" si="16"/>
        <v>1561.500000000001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236552.50000000003</v>
      </c>
      <c r="C107" s="68">
        <f>SUM(C108:C151)-C115-C120+C152-C142-C143-C109-C112-C123-C124-C140-C133-C131-C138</f>
        <v>560903.7</v>
      </c>
      <c r="D107" s="68">
        <f>SUM(D108:D151)-D115-D120+D152-D142-D143-D109-D112-D123-D124-D140-D133-D131-D138-D118</f>
        <v>146409.19999999995</v>
      </c>
      <c r="E107" s="69">
        <f>D107/D154*100</f>
        <v>16.58217537221473</v>
      </c>
      <c r="F107" s="69">
        <f>D107/B107*100</f>
        <v>61.89289903932528</v>
      </c>
      <c r="G107" s="69">
        <f t="shared" si="14"/>
        <v>26.102377288650437</v>
      </c>
      <c r="H107" s="68">
        <f t="shared" si="15"/>
        <v>90143.30000000008</v>
      </c>
      <c r="I107" s="68">
        <f t="shared" si="16"/>
        <v>414494.5</v>
      </c>
      <c r="J107" s="114"/>
      <c r="K107" s="154"/>
      <c r="L107" s="97"/>
    </row>
    <row r="108" spans="1:12" s="94" customFormat="1" ht="37.5">
      <c r="A108" s="98" t="s">
        <v>52</v>
      </c>
      <c r="B108" s="163">
        <v>2257.5</v>
      </c>
      <c r="C108" s="160">
        <v>4459</v>
      </c>
      <c r="D108" s="99">
        <f>17.1+81.1+17.3+60.5+173.3+3.4+2+0.4+29.3+1.7+177.1+0.8+38.8+139.8+0.3+1.9+1.8+6.5+136+91.3+0.1+1.8+1.1+2.4+3.5+2+3.4+72.2+73.1+42.5+21.2+13.2+0.2+17.6-34.7+31.4+109.2+11.6+31.6</f>
        <v>1383.7999999999995</v>
      </c>
      <c r="E108" s="100">
        <f>D108/D107*100</f>
        <v>0.9451591839857058</v>
      </c>
      <c r="F108" s="100">
        <f t="shared" si="17"/>
        <v>61.29789590254704</v>
      </c>
      <c r="G108" s="100">
        <f t="shared" si="14"/>
        <v>31.033864095088575</v>
      </c>
      <c r="H108" s="101">
        <f t="shared" si="15"/>
        <v>873.7000000000005</v>
      </c>
      <c r="I108" s="101">
        <f t="shared" si="16"/>
        <v>3075.2000000000007</v>
      </c>
      <c r="K108" s="154"/>
      <c r="L108" s="102"/>
    </row>
    <row r="109" spans="1:12" s="94" customFormat="1" ht="18.75">
      <c r="A109" s="103" t="s">
        <v>25</v>
      </c>
      <c r="B109" s="104">
        <v>1000.3</v>
      </c>
      <c r="C109" s="105">
        <v>1995</v>
      </c>
      <c r="D109" s="106">
        <f>47.8+0.9+59.7+88.3+0.1+59.2+38.8+107.4+24+91.1+38+42.5+2+31.4</f>
        <v>631.2</v>
      </c>
      <c r="E109" s="107">
        <f>D109/D108*100</f>
        <v>45.613527966469164</v>
      </c>
      <c r="F109" s="107">
        <f t="shared" si="17"/>
        <v>63.10106967909628</v>
      </c>
      <c r="G109" s="107">
        <f t="shared" si="14"/>
        <v>31.639097744360907</v>
      </c>
      <c r="H109" s="105">
        <f aca="true" t="shared" si="18" ref="H109:H152">B109-D109</f>
        <v>369.0999999999999</v>
      </c>
      <c r="I109" s="105">
        <f t="shared" si="16"/>
        <v>1363.8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4">
        <v>110.9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110.9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1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4">
        <v>46.7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46.7</v>
      </c>
      <c r="I113" s="101">
        <f t="shared" si="16"/>
        <v>64.3</v>
      </c>
      <c r="K113" s="154"/>
      <c r="L113" s="102"/>
    </row>
    <row r="114" spans="1:12" s="94" customFormat="1" ht="37.5">
      <c r="A114" s="108" t="s">
        <v>38</v>
      </c>
      <c r="B114" s="164">
        <v>1699.7</v>
      </c>
      <c r="C114" s="101">
        <v>3311.5</v>
      </c>
      <c r="D114" s="99">
        <f>136.4+10+40+6.6+6.1+0.2+177.4+10+1.8+25.1+29.4+48.1+8.1+193.1+10+0.1+17.8+8.8+132.4+79.7+12.6+4.3+3.5+212.4+8.1+0.4+10.8</f>
        <v>1193.2</v>
      </c>
      <c r="E114" s="100">
        <f>D114/D107*100</f>
        <v>0.8149761080587835</v>
      </c>
      <c r="F114" s="100">
        <f t="shared" si="17"/>
        <v>70.20062363946579</v>
      </c>
      <c r="G114" s="100">
        <f t="shared" si="14"/>
        <v>36.03200966329458</v>
      </c>
      <c r="H114" s="101">
        <f t="shared" si="18"/>
        <v>506.5</v>
      </c>
      <c r="I114" s="101">
        <f t="shared" si="16"/>
        <v>2118.3</v>
      </c>
      <c r="K114" s="154"/>
      <c r="L114" s="102"/>
    </row>
    <row r="115" spans="1:12" s="94" customFormat="1" ht="18.75" hidden="1">
      <c r="A115" s="112" t="s">
        <v>43</v>
      </c>
      <c r="B115" s="161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4">
        <v>159</v>
      </c>
      <c r="C117" s="101">
        <v>200</v>
      </c>
      <c r="D117" s="99">
        <f>15+40</f>
        <v>55</v>
      </c>
      <c r="E117" s="100">
        <f>D117/D107*100</f>
        <v>0.037565945309447776</v>
      </c>
      <c r="F117" s="100">
        <f>D117/B117*100</f>
        <v>34.59119496855346</v>
      </c>
      <c r="G117" s="100">
        <f t="shared" si="14"/>
        <v>27.500000000000004</v>
      </c>
      <c r="H117" s="101">
        <f t="shared" si="18"/>
        <v>104</v>
      </c>
      <c r="I117" s="101">
        <f t="shared" si="16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4">
        <v>268.5</v>
      </c>
      <c r="C119" s="109">
        <v>491.6</v>
      </c>
      <c r="D119" s="99">
        <f>45.4+9.9+47+6.4+0.4+0.4+45.4+0.4+2.9+45.4+4+6.8+0.4+45.4+0.1+5.8+0.8+0.4</f>
        <v>267.30000000000007</v>
      </c>
      <c r="E119" s="100">
        <f>D119/D107*100</f>
        <v>0.18257049420391624</v>
      </c>
      <c r="F119" s="100">
        <f t="shared" si="17"/>
        <v>99.55307262569835</v>
      </c>
      <c r="G119" s="100">
        <f t="shared" si="14"/>
        <v>54.373474369406026</v>
      </c>
      <c r="H119" s="101">
        <f t="shared" si="18"/>
        <v>1.1999999999999318</v>
      </c>
      <c r="I119" s="101">
        <f t="shared" si="16"/>
        <v>224.29999999999995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84.9607182940516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4">
        <v>125</v>
      </c>
      <c r="C121" s="109">
        <v>317</v>
      </c>
      <c r="D121" s="99">
        <v>3.6</v>
      </c>
      <c r="E121" s="100">
        <f>D121/D107*100</f>
        <v>0.0024588618748002185</v>
      </c>
      <c r="F121" s="100">
        <f t="shared" si="17"/>
        <v>2.88</v>
      </c>
      <c r="G121" s="100">
        <f t="shared" si="14"/>
        <v>1.135646687697161</v>
      </c>
      <c r="H121" s="101">
        <f t="shared" si="18"/>
        <v>121.4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4">
        <f>480-268.6</f>
        <v>211.39999999999998</v>
      </c>
      <c r="C122" s="109">
        <f>480+80</f>
        <v>560</v>
      </c>
      <c r="D122" s="110">
        <f>12</f>
        <v>12</v>
      </c>
      <c r="E122" s="113">
        <f>D122/D107*100</f>
        <v>0.008196206249334061</v>
      </c>
      <c r="F122" s="100">
        <f t="shared" si="17"/>
        <v>5.676442762535478</v>
      </c>
      <c r="G122" s="100">
        <f t="shared" si="14"/>
        <v>2.142857142857143</v>
      </c>
      <c r="H122" s="101">
        <f t="shared" si="18"/>
        <v>199.39999999999998</v>
      </c>
      <c r="I122" s="101">
        <f t="shared" si="16"/>
        <v>548</v>
      </c>
      <c r="K122" s="154"/>
      <c r="L122" s="102"/>
    </row>
    <row r="123" spans="1:12" s="117" customFormat="1" ht="18.75" hidden="1">
      <c r="A123" s="103" t="s">
        <v>80</v>
      </c>
      <c r="B123" s="161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1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4">
        <f>24768.3+1268.6</f>
        <v>26036.899999999998</v>
      </c>
      <c r="C125" s="109">
        <v>45511.3</v>
      </c>
      <c r="D125" s="110">
        <f>3529.6+2264.3+1265.3+2996.5+533.1+738.7+2380.2+1722.3+1049.4+1874.1+1476.2+1455.5+94.4+1416+1268.6</f>
        <v>24064.2</v>
      </c>
      <c r="E125" s="113">
        <f>D125/D107*100</f>
        <v>16.436262202102057</v>
      </c>
      <c r="F125" s="100">
        <f t="shared" si="17"/>
        <v>92.42344518740711</v>
      </c>
      <c r="G125" s="100">
        <f t="shared" si="14"/>
        <v>52.87522000030761</v>
      </c>
      <c r="H125" s="101">
        <f t="shared" si="18"/>
        <v>1972.699999999997</v>
      </c>
      <c r="I125" s="101">
        <f t="shared" si="16"/>
        <v>21447.100000000002</v>
      </c>
      <c r="K125" s="154"/>
      <c r="L125" s="102"/>
    </row>
    <row r="126" spans="1:12" s="114" customFormat="1" ht="18.75">
      <c r="A126" s="108" t="s">
        <v>91</v>
      </c>
      <c r="B126" s="164">
        <v>655</v>
      </c>
      <c r="C126" s="109">
        <v>700</v>
      </c>
      <c r="D126" s="110">
        <v>9.6</v>
      </c>
      <c r="E126" s="113">
        <f>D126/D107*100</f>
        <v>0.006556964999467249</v>
      </c>
      <c r="F126" s="100">
        <f t="shared" si="17"/>
        <v>1.465648854961832</v>
      </c>
      <c r="G126" s="100">
        <f t="shared" si="14"/>
        <v>1.3714285714285714</v>
      </c>
      <c r="H126" s="101">
        <f t="shared" si="18"/>
        <v>645.4</v>
      </c>
      <c r="I126" s="101">
        <f t="shared" si="16"/>
        <v>690.4</v>
      </c>
      <c r="K126" s="154"/>
      <c r="L126" s="102"/>
    </row>
    <row r="127" spans="1:12" s="114" customFormat="1" ht="37.5">
      <c r="A127" s="108" t="s">
        <v>100</v>
      </c>
      <c r="B127" s="164">
        <v>200</v>
      </c>
      <c r="C127" s="109">
        <v>200</v>
      </c>
      <c r="D127" s="110"/>
      <c r="E127" s="113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200</v>
      </c>
      <c r="I127" s="101">
        <f t="shared" si="16"/>
        <v>200</v>
      </c>
      <c r="K127" s="154"/>
      <c r="L127" s="102"/>
    </row>
    <row r="128" spans="1:12" s="114" customFormat="1" ht="37.5">
      <c r="A128" s="108" t="s">
        <v>85</v>
      </c>
      <c r="B128" s="164">
        <v>74</v>
      </c>
      <c r="C128" s="109">
        <f>111.1</f>
        <v>111.1</v>
      </c>
      <c r="D128" s="110"/>
      <c r="E128" s="113">
        <f>D128/D107*100</f>
        <v>0</v>
      </c>
      <c r="F128" s="100">
        <f t="shared" si="17"/>
        <v>0</v>
      </c>
      <c r="G128" s="100">
        <f t="shared" si="14"/>
        <v>0</v>
      </c>
      <c r="H128" s="101">
        <f t="shared" si="18"/>
        <v>74</v>
      </c>
      <c r="I128" s="101">
        <f t="shared" si="16"/>
        <v>111.1</v>
      </c>
      <c r="K128" s="154"/>
      <c r="L128" s="102"/>
    </row>
    <row r="129" spans="1:12" s="114" customFormat="1" ht="18.75" hidden="1">
      <c r="A129" s="112" t="s">
        <v>83</v>
      </c>
      <c r="B129" s="162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4">
        <v>255.5</v>
      </c>
      <c r="C130" s="109">
        <v>942</v>
      </c>
      <c r="D130" s="110">
        <f>7+4.2+0.1+12.3+0.2+7.1+17.8+14.9+1.7+0.1+7.4+7+2.7+3.7+7.1+5.3+31.3+16.4+2.5+1.7+26.7+0.1+13.8+0.1+2.9+6.5+0.6+7+4.8</f>
        <v>213</v>
      </c>
      <c r="E130" s="113">
        <f>D130/D107*100</f>
        <v>0.14548266092567957</v>
      </c>
      <c r="F130" s="100">
        <f t="shared" si="17"/>
        <v>83.36594911937377</v>
      </c>
      <c r="G130" s="100">
        <f t="shared" si="14"/>
        <v>22.611464968152866</v>
      </c>
      <c r="H130" s="101">
        <f t="shared" si="18"/>
        <v>42.5</v>
      </c>
      <c r="I130" s="101">
        <f t="shared" si="16"/>
        <v>729</v>
      </c>
      <c r="K130" s="154"/>
      <c r="L130" s="102"/>
    </row>
    <row r="131" spans="1:12" s="115" customFormat="1" ht="18.75">
      <c r="A131" s="103" t="s">
        <v>88</v>
      </c>
      <c r="B131" s="104">
        <v>43.6</v>
      </c>
      <c r="C131" s="105">
        <v>510.8</v>
      </c>
      <c r="D131" s="106">
        <f>7+7.1+7+7.1+7</f>
        <v>35.2</v>
      </c>
      <c r="E131" s="107">
        <f>D131/D130*100</f>
        <v>16.525821596244132</v>
      </c>
      <c r="F131" s="107">
        <f>D131/B131*100</f>
        <v>80.73394495412845</v>
      </c>
      <c r="G131" s="107">
        <f t="shared" si="14"/>
        <v>6.891151135473766</v>
      </c>
      <c r="H131" s="105">
        <f t="shared" si="18"/>
        <v>8.399999999999999</v>
      </c>
      <c r="I131" s="105">
        <f t="shared" si="16"/>
        <v>475.6</v>
      </c>
      <c r="K131" s="154"/>
      <c r="L131" s="102"/>
    </row>
    <row r="132" spans="1:12" s="114" customFormat="1" ht="37.5">
      <c r="A132" s="108" t="s">
        <v>103</v>
      </c>
      <c r="B132" s="164">
        <v>210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210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61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2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2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4">
        <f>175-120</f>
        <v>55</v>
      </c>
      <c r="C136" s="109">
        <v>383.2</v>
      </c>
      <c r="D136" s="110">
        <f>2.9+1.5+9.7+8.2+0.2-0.4+16</f>
        <v>38.099999999999994</v>
      </c>
      <c r="E136" s="113">
        <f>D136/D107*100</f>
        <v>0.026022954841635637</v>
      </c>
      <c r="F136" s="100">
        <f t="shared" si="17"/>
        <v>69.27272727272727</v>
      </c>
      <c r="G136" s="100">
        <f t="shared" si="14"/>
        <v>9.942588726513568</v>
      </c>
      <c r="H136" s="101">
        <f t="shared" si="18"/>
        <v>16.900000000000006</v>
      </c>
      <c r="I136" s="101">
        <f t="shared" si="16"/>
        <v>345.1</v>
      </c>
      <c r="K136" s="154"/>
      <c r="L136" s="102"/>
    </row>
    <row r="137" spans="1:12" s="114" customFormat="1" ht="39" customHeight="1">
      <c r="A137" s="108" t="s">
        <v>54</v>
      </c>
      <c r="B137" s="164">
        <v>120</v>
      </c>
      <c r="C137" s="109">
        <v>350</v>
      </c>
      <c r="D137" s="110">
        <v>3.7</v>
      </c>
      <c r="E137" s="113">
        <f>D137/D107*100</f>
        <v>0.002527163593544669</v>
      </c>
      <c r="F137" s="100">
        <f t="shared" si="17"/>
        <v>3.0833333333333335</v>
      </c>
      <c r="G137" s="100">
        <f t="shared" si="14"/>
        <v>1.0571428571428572</v>
      </c>
      <c r="H137" s="101">
        <f t="shared" si="18"/>
        <v>116.3</v>
      </c>
      <c r="I137" s="101">
        <f t="shared" si="16"/>
        <v>346.3</v>
      </c>
      <c r="K137" s="154"/>
      <c r="L137" s="102"/>
    </row>
    <row r="138" spans="1:12" s="115" customFormat="1" ht="18.75">
      <c r="A138" s="103" t="s">
        <v>88</v>
      </c>
      <c r="B138" s="104">
        <v>38</v>
      </c>
      <c r="C138" s="105">
        <v>110</v>
      </c>
      <c r="D138" s="106">
        <v>3.7</v>
      </c>
      <c r="E138" s="107"/>
      <c r="F138" s="100">
        <f>D138/B138*100</f>
        <v>9.73684210526316</v>
      </c>
      <c r="G138" s="107">
        <f>D138/C138*100</f>
        <v>3.3636363636363638</v>
      </c>
      <c r="H138" s="105">
        <f>B138-D138</f>
        <v>34.3</v>
      </c>
      <c r="I138" s="105">
        <f>C138-D138</f>
        <v>106.3</v>
      </c>
      <c r="K138" s="154"/>
      <c r="L138" s="102"/>
    </row>
    <row r="139" spans="1:12" s="114" customFormat="1" ht="32.25" customHeight="1">
      <c r="A139" s="108" t="s">
        <v>84</v>
      </c>
      <c r="B139" s="164">
        <v>345.7</v>
      </c>
      <c r="C139" s="109">
        <v>607.7</v>
      </c>
      <c r="D139" s="110">
        <f>76+0.3+41+44+1.8+16.3+2.4+30+0.6+0.2+27.4+0.2+4.5-0.2+31.4</f>
        <v>275.90000000000003</v>
      </c>
      <c r="E139" s="113">
        <f>D139/D107*100</f>
        <v>0.188444442015939</v>
      </c>
      <c r="F139" s="100">
        <f>D139/B139*100</f>
        <v>79.80908301995952</v>
      </c>
      <c r="G139" s="100">
        <f>D139/C139*100</f>
        <v>45.40069113049202</v>
      </c>
      <c r="H139" s="101">
        <f t="shared" si="18"/>
        <v>69.79999999999995</v>
      </c>
      <c r="I139" s="101">
        <f t="shared" si="16"/>
        <v>331.8</v>
      </c>
      <c r="K139" s="154"/>
      <c r="L139" s="102"/>
    </row>
    <row r="140" spans="1:12" s="115" customFormat="1" ht="18.75">
      <c r="A140" s="103" t="s">
        <v>25</v>
      </c>
      <c r="B140" s="104">
        <v>283.8</v>
      </c>
      <c r="C140" s="105">
        <v>489.6</v>
      </c>
      <c r="D140" s="106">
        <f>76+37.6+44+1.2+0.7+30+27.4+30.6</f>
        <v>247.49999999999997</v>
      </c>
      <c r="E140" s="107">
        <f>D140/D139*100</f>
        <v>89.70641536788689</v>
      </c>
      <c r="F140" s="107">
        <f t="shared" si="17"/>
        <v>87.20930232558139</v>
      </c>
      <c r="G140" s="107">
        <f>D140/C140*100</f>
        <v>50.55147058823528</v>
      </c>
      <c r="H140" s="105">
        <f t="shared" si="18"/>
        <v>36.30000000000004</v>
      </c>
      <c r="I140" s="105">
        <f t="shared" si="16"/>
        <v>242.10000000000005</v>
      </c>
      <c r="K140" s="154"/>
      <c r="L140" s="102"/>
    </row>
    <row r="141" spans="1:12" s="114" customFormat="1" ht="18.75">
      <c r="A141" s="108" t="s">
        <v>96</v>
      </c>
      <c r="B141" s="164">
        <v>892</v>
      </c>
      <c r="C141" s="109">
        <v>1760</v>
      </c>
      <c r="D141" s="110">
        <f>107.3+0.4+30.4+78.2+4.1+36.9+117.9+50.5+112.6+5.2+52.3+10.5+76.8-0.2+10.4+82.9</f>
        <v>776.1999999999999</v>
      </c>
      <c r="E141" s="113">
        <f>D141/D107*100</f>
        <v>0.5301579408944248</v>
      </c>
      <c r="F141" s="100">
        <f t="shared" si="17"/>
        <v>87.01793721973094</v>
      </c>
      <c r="G141" s="100">
        <f t="shared" si="14"/>
        <v>44.10227272727273</v>
      </c>
      <c r="H141" s="101">
        <f t="shared" si="18"/>
        <v>115.80000000000007</v>
      </c>
      <c r="I141" s="101">
        <f t="shared" si="16"/>
        <v>983.8000000000001</v>
      </c>
      <c r="K141" s="154"/>
      <c r="L141" s="102"/>
    </row>
    <row r="142" spans="1:12" s="115" customFormat="1" ht="18.75">
      <c r="A142" s="112" t="s">
        <v>43</v>
      </c>
      <c r="B142" s="104">
        <v>713.6</v>
      </c>
      <c r="C142" s="105">
        <v>1437.4</v>
      </c>
      <c r="D142" s="106">
        <f>107.3+25.4+76+34+76.6+47.2+83.8+4.5+35.4+76.8-0.2+60.7</f>
        <v>627.4999999999999</v>
      </c>
      <c r="E142" s="107">
        <f>D142/D141*100</f>
        <v>80.84256634887915</v>
      </c>
      <c r="F142" s="107">
        <f aca="true" t="shared" si="19" ref="F142:F151">D142/B142*100</f>
        <v>87.93441704035872</v>
      </c>
      <c r="G142" s="107">
        <f t="shared" si="14"/>
        <v>43.655210797272844</v>
      </c>
      <c r="H142" s="105">
        <f t="shared" si="18"/>
        <v>86.10000000000014</v>
      </c>
      <c r="I142" s="105">
        <f t="shared" si="16"/>
        <v>809.9000000000002</v>
      </c>
      <c r="K142" s="154"/>
      <c r="L142" s="102"/>
    </row>
    <row r="143" spans="1:13" s="115" customFormat="1" ht="18.75">
      <c r="A143" s="103" t="s">
        <v>25</v>
      </c>
      <c r="B143" s="104">
        <v>27.2</v>
      </c>
      <c r="C143" s="105">
        <v>40</v>
      </c>
      <c r="D143" s="106">
        <f>0.4+4.9+0.7+4.7+3.3+0.4+0.7+0.6</f>
        <v>15.7</v>
      </c>
      <c r="E143" s="107">
        <f>D143/D141*100</f>
        <v>2.0226745684102037</v>
      </c>
      <c r="F143" s="107">
        <f t="shared" si="19"/>
        <v>57.720588235294116</v>
      </c>
      <c r="G143" s="107">
        <f>D143/C143*100</f>
        <v>39.24999999999999</v>
      </c>
      <c r="H143" s="105">
        <f t="shared" si="18"/>
        <v>11.5</v>
      </c>
      <c r="I143" s="105">
        <f t="shared" si="16"/>
        <v>24.3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4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0.365072686689088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8.75" hidden="1">
      <c r="A145" s="118" t="s">
        <v>92</v>
      </c>
      <c r="B145" s="162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8.75">
      <c r="A146" s="118" t="s">
        <v>97</v>
      </c>
      <c r="B146" s="164">
        <f>22821.5-1011</f>
        <v>21810.5</v>
      </c>
      <c r="C146" s="109">
        <f>56447.1-100+1500-3000</f>
        <v>54847.1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</f>
        <v>19433.800000000003</v>
      </c>
      <c r="E146" s="113">
        <f>D146/D107*100</f>
        <v>13.273619417359026</v>
      </c>
      <c r="F146" s="100">
        <f t="shared" si="19"/>
        <v>89.10295499873915</v>
      </c>
      <c r="G146" s="100">
        <f t="shared" si="14"/>
        <v>35.43268468159667</v>
      </c>
      <c r="H146" s="101">
        <f t="shared" si="18"/>
        <v>2376.699999999997</v>
      </c>
      <c r="I146" s="101">
        <f t="shared" si="16"/>
        <v>35413.299999999996</v>
      </c>
      <c r="K146" s="154"/>
      <c r="L146" s="102"/>
    </row>
    <row r="147" spans="1:12" s="114" customFormat="1" ht="18.75" hidden="1">
      <c r="A147" s="118" t="s">
        <v>86</v>
      </c>
      <c r="B147" s="162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7.5" hidden="1">
      <c r="A148" s="118" t="s">
        <v>104</v>
      </c>
      <c r="B148" s="162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4">
        <v>89.4</v>
      </c>
      <c r="C149" s="109">
        <v>162.3</v>
      </c>
      <c r="D149" s="110">
        <f>46.4+43</f>
        <v>89.4</v>
      </c>
      <c r="E149" s="113">
        <f>D149/D107*100</f>
        <v>0.06106173655753876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4">
        <v>6260.2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4.044486275452637</v>
      </c>
      <c r="F150" s="100">
        <f t="shared" si="19"/>
        <v>94.58962972428995</v>
      </c>
      <c r="G150" s="100">
        <f t="shared" si="14"/>
        <v>52.76923762420353</v>
      </c>
      <c r="H150" s="101">
        <f t="shared" si="18"/>
        <v>338.7000000000007</v>
      </c>
      <c r="I150" s="101">
        <f t="shared" si="16"/>
        <v>5300.000000000001</v>
      </c>
      <c r="K150" s="154"/>
      <c r="L150" s="102"/>
    </row>
    <row r="151" spans="1:12" s="114" customFormat="1" ht="19.5" customHeight="1">
      <c r="A151" s="148" t="s">
        <v>50</v>
      </c>
      <c r="B151" s="166">
        <f>151473.2+1011+432.7+12</f>
        <v>152928.90000000002</v>
      </c>
      <c r="C151" s="149">
        <f>350771.5+40351.1</f>
        <v>391122.6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</f>
        <v>73364.4</v>
      </c>
      <c r="E151" s="151">
        <f>D151/D107*100</f>
        <v>50.10914614655364</v>
      </c>
      <c r="F151" s="152">
        <f t="shared" si="19"/>
        <v>47.972881515527796</v>
      </c>
      <c r="G151" s="152">
        <f t="shared" si="14"/>
        <v>18.757392183422795</v>
      </c>
      <c r="H151" s="153">
        <f t="shared" si="18"/>
        <v>79564.50000000003</v>
      </c>
      <c r="I151" s="153">
        <f>C151-D151</f>
        <v>317758.19999999995</v>
      </c>
      <c r="K151" s="154"/>
      <c r="L151" s="102"/>
    </row>
    <row r="152" spans="1:12" s="114" customFormat="1" ht="18.75">
      <c r="A152" s="108" t="s">
        <v>99</v>
      </c>
      <c r="B152" s="164">
        <v>21116.2</v>
      </c>
      <c r="C152" s="109">
        <v>42232</v>
      </c>
      <c r="D152" s="110">
        <f>819+819+819.1+1062.3+1173.1+1173.1+1173.2+1173.1+1173.1+1173.2+1173.1+1173.1+1173.2+1173.1+1173.1+1173.1+1173.1</f>
        <v>18770</v>
      </c>
      <c r="E152" s="113">
        <f>D152/D107*100</f>
        <v>12.82023260833336</v>
      </c>
      <c r="F152" s="100">
        <f t="shared" si="17"/>
        <v>88.88909936446898</v>
      </c>
      <c r="G152" s="100">
        <f t="shared" si="14"/>
        <v>44.44497063837848</v>
      </c>
      <c r="H152" s="101">
        <f t="shared" si="18"/>
        <v>2346.2000000000007</v>
      </c>
      <c r="I152" s="101">
        <f t="shared" si="16"/>
        <v>23462</v>
      </c>
      <c r="K152" s="154"/>
      <c r="L152" s="102"/>
    </row>
    <row r="153" spans="1:12" s="2" customFormat="1" ht="19.5" thickBot="1">
      <c r="A153" s="29" t="s">
        <v>29</v>
      </c>
      <c r="B153" s="165"/>
      <c r="C153" s="64"/>
      <c r="D153" s="45">
        <f>D43+D69+D72+D77+D79+D87+D102+D107+D100+D84+D98</f>
        <v>153730.09999999995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1109041.3</v>
      </c>
      <c r="C154" s="41">
        <f>C6+C18+C33+C43+C51+C59+C69+C72+C77+C79+C87+C90+C95+C102+C107+C100+C84+C98+C45</f>
        <v>2165189.5</v>
      </c>
      <c r="D154" s="41">
        <f>D6+D18+D33+D43+D51+D59+D69+D72+D77+D79+D87+D90+D95+D102+D107+D100+D84+D98+D45</f>
        <v>882931.1999999998</v>
      </c>
      <c r="E154" s="28">
        <v>100</v>
      </c>
      <c r="F154" s="3">
        <f>D154/B154*100</f>
        <v>79.61211183028078</v>
      </c>
      <c r="G154" s="3">
        <f aca="true" t="shared" si="20" ref="G154:G160">D154/C154*100</f>
        <v>40.77847227690693</v>
      </c>
      <c r="H154" s="41">
        <f aca="true" t="shared" si="21" ref="H154:H160">B154-D154</f>
        <v>226110.1000000002</v>
      </c>
      <c r="I154" s="41">
        <f aca="true" t="shared" si="22" ref="I154:I160">C154-D154</f>
        <v>1282258.3000000003</v>
      </c>
      <c r="K154" s="180"/>
      <c r="L154" s="34"/>
    </row>
    <row r="155" spans="1:12" ht="18.75">
      <c r="A155" s="16" t="s">
        <v>5</v>
      </c>
      <c r="B155" s="52">
        <f>B8+B20+B34+B52+B60+B91+B115+B120+B46+B142+B133+B103</f>
        <v>509364.69999999995</v>
      </c>
      <c r="C155" s="52">
        <f>C8+C20+C34+C52+C60+C91+C115+C120+C46+C142+C133+C103</f>
        <v>896180.8</v>
      </c>
      <c r="D155" s="52">
        <f>D8+D20+D34+D52+D60+D91+D115+D120+D46+D142+D133+D103</f>
        <v>438240.8100000001</v>
      </c>
      <c r="E155" s="6">
        <f>D155/D154*100</f>
        <v>49.63476316161442</v>
      </c>
      <c r="F155" s="6">
        <f aca="true" t="shared" si="23" ref="F155:F160">D155/B155*100</f>
        <v>86.03674538106002</v>
      </c>
      <c r="G155" s="6">
        <f t="shared" si="20"/>
        <v>48.900937176962515</v>
      </c>
      <c r="H155" s="53">
        <f t="shared" si="21"/>
        <v>71123.88999999984</v>
      </c>
      <c r="I155" s="63">
        <f t="shared" si="22"/>
        <v>457939.98999999993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64011.899999999994</v>
      </c>
      <c r="C156" s="53">
        <f>C11+C23+C36+C55+C62+C92+C49+C143+C109+C112+C96+C140+C129</f>
        <v>110563.99999999999</v>
      </c>
      <c r="D156" s="53">
        <f>D11+D23+D36+D55+D62+D92+D49+D143+D109+D112+D96+D140+D129</f>
        <v>59570.39999999998</v>
      </c>
      <c r="E156" s="6">
        <f>D156/D154*100</f>
        <v>6.7468903579350235</v>
      </c>
      <c r="F156" s="6">
        <f t="shared" si="23"/>
        <v>93.06144638731234</v>
      </c>
      <c r="G156" s="6">
        <f t="shared" si="20"/>
        <v>53.87865851452551</v>
      </c>
      <c r="H156" s="53">
        <f>B156-D156</f>
        <v>4441.500000000015</v>
      </c>
      <c r="I156" s="63">
        <f t="shared" si="22"/>
        <v>50993.600000000006</v>
      </c>
      <c r="K156" s="154"/>
      <c r="L156" s="70"/>
    </row>
    <row r="157" spans="1:12" ht="18.75">
      <c r="A157" s="16" t="s">
        <v>1</v>
      </c>
      <c r="B157" s="52">
        <f>B22+B10+B54+B48+B61+B35+B124</f>
        <v>24614.399999999998</v>
      </c>
      <c r="C157" s="52">
        <f>C22+C10+C54+C48+C61+C35+C124</f>
        <v>45915.9</v>
      </c>
      <c r="D157" s="52">
        <f>D22+D10+D54+D48+D61+D35+D124</f>
        <v>15253.899999999998</v>
      </c>
      <c r="E157" s="6">
        <f>D157/D154*100</f>
        <v>1.7276431051479437</v>
      </c>
      <c r="F157" s="6">
        <f t="shared" si="23"/>
        <v>61.97144760790432</v>
      </c>
      <c r="G157" s="6">
        <f t="shared" si="20"/>
        <v>33.221389540442416</v>
      </c>
      <c r="H157" s="53">
        <f t="shared" si="21"/>
        <v>9360.5</v>
      </c>
      <c r="I157" s="63">
        <f t="shared" si="22"/>
        <v>30662.000000000004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16052.900000000001</v>
      </c>
      <c r="C158" s="52">
        <f>C12+C24+C104+C63+C38+C93+C131+C56+C138+C118</f>
        <v>30214.999999999996</v>
      </c>
      <c r="D158" s="52">
        <f>D12+D24+D104+D63+D38+D93+D131+D56+D138+D118</f>
        <v>12771.2</v>
      </c>
      <c r="E158" s="6">
        <f>D158/D154*100</f>
        <v>1.4464547181026113</v>
      </c>
      <c r="F158" s="6">
        <f t="shared" si="23"/>
        <v>79.55696478517899</v>
      </c>
      <c r="G158" s="6">
        <f t="shared" si="20"/>
        <v>42.267747807380445</v>
      </c>
      <c r="H158" s="53">
        <f>B158-D158</f>
        <v>3281.7000000000007</v>
      </c>
      <c r="I158" s="63">
        <f t="shared" si="22"/>
        <v>17443.799999999996</v>
      </c>
      <c r="K158" s="154"/>
      <c r="L158" s="70"/>
    </row>
    <row r="159" spans="1:12" ht="18.75">
      <c r="A159" s="16" t="s">
        <v>2</v>
      </c>
      <c r="B159" s="52">
        <f>B9+B21+B47+B53+B123</f>
        <v>31.6</v>
      </c>
      <c r="C159" s="52">
        <f>C9+C21+C47+C53+C123</f>
        <v>113.10000000000001</v>
      </c>
      <c r="D159" s="52">
        <f>D9+D21+D47+D53+D123</f>
        <v>17.900000000000002</v>
      </c>
      <c r="E159" s="6">
        <f>D159/D154*100</f>
        <v>0.002027338030415054</v>
      </c>
      <c r="F159" s="6">
        <f t="shared" si="23"/>
        <v>56.64556962025317</v>
      </c>
      <c r="G159" s="6">
        <f t="shared" si="20"/>
        <v>15.826702033598586</v>
      </c>
      <c r="H159" s="53">
        <f t="shared" si="21"/>
        <v>13.7</v>
      </c>
      <c r="I159" s="63">
        <f t="shared" si="22"/>
        <v>95.2</v>
      </c>
      <c r="K159" s="154"/>
      <c r="L159" s="34"/>
    </row>
    <row r="160" spans="1:12" ht="19.5" thickBot="1">
      <c r="A160" s="89" t="s">
        <v>27</v>
      </c>
      <c r="B160" s="65">
        <f>B154-B155-B156-B157-B158-B159</f>
        <v>494965.80000000005</v>
      </c>
      <c r="C160" s="65">
        <f>C154-C155-C156-C157-C158-C159</f>
        <v>1082200.7</v>
      </c>
      <c r="D160" s="65">
        <f>D154-D155-D156-D157-D158-D159</f>
        <v>357076.9899999997</v>
      </c>
      <c r="E160" s="31">
        <f>D160/D154*100</f>
        <v>40.442221319169576</v>
      </c>
      <c r="F160" s="31">
        <f t="shared" si="23"/>
        <v>72.1417499956562</v>
      </c>
      <c r="G160" s="31">
        <f t="shared" si="20"/>
        <v>32.995449919779176</v>
      </c>
      <c r="H160" s="90">
        <f t="shared" si="21"/>
        <v>137888.81000000035</v>
      </c>
      <c r="I160" s="90">
        <f t="shared" si="22"/>
        <v>725123.7100000002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8"/>
      <c r="C166" s="159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2165189.5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882931.1999999998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2165189.5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882931.1999999998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2018-06-15T11:30:11Z</cp:lastPrinted>
  <dcterms:created xsi:type="dcterms:W3CDTF">2000-06-20T04:48:00Z</dcterms:created>
  <dcterms:modified xsi:type="dcterms:W3CDTF">2018-06-19T06:37:52Z</dcterms:modified>
  <cp:category/>
  <cp:version/>
  <cp:contentType/>
  <cp:contentStatus/>
</cp:coreProperties>
</file>